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AF45980-CCA2-4A24-9EFE-6408D2DB9CB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-3" sheetId="1" r:id="rId1"/>
    <sheet name="4-7" sheetId="2" r:id="rId2"/>
    <sheet name="8-11" sheetId="3" r:id="rId3"/>
    <sheet name="12-14" sheetId="4" r:id="rId4"/>
    <sheet name="15-17" sheetId="5" r:id="rId5"/>
  </sheets>
  <calcPr calcId="181029"/>
</workbook>
</file>

<file path=xl/calcChain.xml><?xml version="1.0" encoding="utf-8"?>
<calcChain xmlns="http://schemas.openxmlformats.org/spreadsheetml/2006/main">
  <c r="B71" i="5" l="1"/>
  <c r="B58" i="5"/>
  <c r="B57" i="5"/>
  <c r="B27" i="5"/>
  <c r="B17" i="5"/>
  <c r="B70" i="4"/>
  <c r="B82" i="4" s="1"/>
  <c r="C45" i="4"/>
  <c r="B48" i="4"/>
  <c r="B47" i="4"/>
  <c r="B46" i="4"/>
  <c r="B45" i="4"/>
  <c r="B44" i="4"/>
  <c r="B40" i="4"/>
  <c r="C48" i="4" s="1"/>
  <c r="B12" i="4"/>
  <c r="B14" i="4" s="1"/>
  <c r="B18" i="4" s="1"/>
  <c r="B128" i="3"/>
  <c r="B132" i="3" s="1"/>
  <c r="C132" i="3" s="1"/>
  <c r="D132" i="3" s="1"/>
  <c r="C128" i="3"/>
  <c r="D128" i="3"/>
  <c r="B126" i="3"/>
  <c r="B91" i="3"/>
  <c r="B94" i="3" s="1"/>
  <c r="B73" i="3"/>
  <c r="B74" i="3" s="1"/>
  <c r="B72" i="3"/>
  <c r="B45" i="3"/>
  <c r="C37" i="3"/>
  <c r="B37" i="3"/>
  <c r="C36" i="3"/>
  <c r="C56" i="3" s="1"/>
  <c r="B36" i="3"/>
  <c r="B56" i="3" s="1"/>
  <c r="C118" i="2"/>
  <c r="E119" i="2" s="1"/>
  <c r="D118" i="2"/>
  <c r="E112" i="2"/>
  <c r="E117" i="2" s="1"/>
  <c r="E114" i="2"/>
  <c r="E113" i="2"/>
  <c r="H77" i="2"/>
  <c r="H76" i="2"/>
  <c r="G77" i="2"/>
  <c r="G76" i="2"/>
  <c r="C54" i="2"/>
  <c r="C55" i="2"/>
  <c r="B55" i="2"/>
  <c r="B54" i="2"/>
  <c r="D31" i="2"/>
  <c r="E31" i="2" s="1"/>
  <c r="F31" i="2" s="1"/>
  <c r="D30" i="2"/>
  <c r="E30" i="2" s="1"/>
  <c r="F30" i="2" s="1"/>
  <c r="D29" i="2"/>
  <c r="E29" i="2" s="1"/>
  <c r="F29" i="2" s="1"/>
  <c r="E19" i="2"/>
  <c r="D21" i="2"/>
  <c r="E21" i="2" s="1"/>
  <c r="D20" i="2"/>
  <c r="E20" i="2" s="1"/>
  <c r="D19" i="2"/>
  <c r="B99" i="1"/>
  <c r="B97" i="1"/>
  <c r="B96" i="1"/>
  <c r="B89" i="1"/>
  <c r="B87" i="1"/>
  <c r="B86" i="1"/>
  <c r="B78" i="1"/>
  <c r="B76" i="1"/>
  <c r="B77" i="1"/>
  <c r="A53" i="1"/>
  <c r="A54" i="1" s="1"/>
  <c r="A55" i="1" s="1"/>
  <c r="A56" i="1" s="1"/>
  <c r="A44" i="1"/>
  <c r="A45" i="1" s="1"/>
  <c r="A46" i="1" s="1"/>
  <c r="A47" i="1" s="1"/>
  <c r="D39" i="1"/>
  <c r="B47" i="1" s="1"/>
  <c r="B56" i="1" s="1"/>
  <c r="D38" i="1"/>
  <c r="B46" i="1" s="1"/>
  <c r="B55" i="1" s="1"/>
  <c r="D37" i="1"/>
  <c r="B45" i="1" s="1"/>
  <c r="B54" i="1" s="1"/>
  <c r="D36" i="1"/>
  <c r="B44" i="1" s="1"/>
  <c r="B53" i="1" s="1"/>
  <c r="D35" i="1"/>
  <c r="B43" i="1" s="1"/>
  <c r="B52" i="1" s="1"/>
  <c r="A36" i="1"/>
  <c r="A37" i="1" s="1"/>
  <c r="A38" i="1" s="1"/>
  <c r="A39" i="1" s="1"/>
  <c r="B13" i="1"/>
  <c r="B15" i="1" s="1"/>
  <c r="B18" i="1" s="1"/>
  <c r="B22" i="1" s="1"/>
  <c r="C46" i="4" l="1"/>
  <c r="B74" i="4"/>
  <c r="C47" i="4"/>
  <c r="C44" i="4"/>
  <c r="B79" i="1"/>
  <c r="B57" i="1"/>
  <c r="C122" i="3"/>
  <c r="C57" i="3"/>
  <c r="B48" i="1"/>
  <c r="B122" i="3" l="1"/>
</calcChain>
</file>

<file path=xl/sharedStrings.xml><?xml version="1.0" encoding="utf-8"?>
<sst xmlns="http://schemas.openxmlformats.org/spreadsheetml/2006/main" count="220" uniqueCount="105">
  <si>
    <t>Dividends</t>
  </si>
  <si>
    <t>Price</t>
  </si>
  <si>
    <t>Return</t>
  </si>
  <si>
    <t>Treasury bill rate</t>
  </si>
  <si>
    <t>Risk premium</t>
  </si>
  <si>
    <t>Beta</t>
  </si>
  <si>
    <t>Rate of return= risk free rate+ beta * risk premium</t>
  </si>
  <si>
    <t>Rate of return</t>
  </si>
  <si>
    <t>Year</t>
  </si>
  <si>
    <t>T Bill Return %</t>
  </si>
  <si>
    <t>Stock market return %</t>
  </si>
  <si>
    <t>Part b</t>
  </si>
  <si>
    <t>Part a</t>
  </si>
  <si>
    <t>Average risk premium</t>
  </si>
  <si>
    <t>Part c</t>
  </si>
  <si>
    <t>Std deviations</t>
  </si>
  <si>
    <t>MPS</t>
  </si>
  <si>
    <t>MPS 2</t>
  </si>
  <si>
    <t>MPS 1</t>
  </si>
  <si>
    <t>Capital gain</t>
  </si>
  <si>
    <t>Capital gain %</t>
  </si>
  <si>
    <t>Dividend yield</t>
  </si>
  <si>
    <t>Total rate of return</t>
  </si>
  <si>
    <t>Capital gain %= (MPS2-MPS1)/MPS1</t>
  </si>
  <si>
    <t>Dividend yield=DPS/MPS</t>
  </si>
  <si>
    <t>MPS 0</t>
  </si>
  <si>
    <t>Capital gain+dividends</t>
  </si>
  <si>
    <t>Inflation adjusted return</t>
  </si>
  <si>
    <t>Yes</t>
  </si>
  <si>
    <t>Stocks</t>
  </si>
  <si>
    <t>Bonds</t>
  </si>
  <si>
    <t>Expected returns</t>
  </si>
  <si>
    <t>Standard deviation</t>
  </si>
  <si>
    <t>Which investment would you prefer</t>
  </si>
  <si>
    <t>Stock</t>
  </si>
  <si>
    <t>Bond</t>
  </si>
  <si>
    <t>Has the highest return</t>
  </si>
  <si>
    <t>Fund</t>
  </si>
  <si>
    <t>Market index</t>
  </si>
  <si>
    <t>Average return</t>
  </si>
  <si>
    <t>Std deviation</t>
  </si>
  <si>
    <t>Ms. Sauros performed worse compared to the market index. She posted relatively lower average returns and standard deviations</t>
  </si>
  <si>
    <t>Scenario</t>
  </si>
  <si>
    <t>Recession</t>
  </si>
  <si>
    <t>Normal economy</t>
  </si>
  <si>
    <t>Boom</t>
  </si>
  <si>
    <t>Probability</t>
  </si>
  <si>
    <t>Expected return</t>
  </si>
  <si>
    <t>Portfolio Std deviation</t>
  </si>
  <si>
    <t>Part  b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</si>
  <si>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</si>
  <si>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</si>
  <si>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</si>
  <si>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</si>
  <si>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</si>
  <si>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</si>
  <si>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</si>
  <si>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</si>
  <si>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Digital cheese</t>
  </si>
  <si>
    <t>Executive Fruit</t>
  </si>
  <si>
    <t>Variance</t>
  </si>
  <si>
    <t>Part a-1</t>
  </si>
  <si>
    <t>Part a-2</t>
  </si>
  <si>
    <t xml:space="preserve">Digital Cheese is riskier if held on its own. </t>
  </si>
  <si>
    <t>Portfolio variance</t>
  </si>
  <si>
    <t>The portfolio variance is half way the variance of the two individual stocks</t>
  </si>
  <si>
    <t>Portfolio return</t>
  </si>
  <si>
    <t>Expceted rate of return</t>
  </si>
  <si>
    <t>Market rate</t>
  </si>
  <si>
    <t>Change</t>
  </si>
  <si>
    <t>Rte of return of stock</t>
  </si>
  <si>
    <t>Risk free rate</t>
  </si>
  <si>
    <t>Market return</t>
  </si>
  <si>
    <t>Underpriced</t>
  </si>
  <si>
    <t>Market</t>
  </si>
  <si>
    <t>Aggressive stock A</t>
  </si>
  <si>
    <t>Defensive stock D</t>
  </si>
  <si>
    <t>Bust</t>
  </si>
  <si>
    <t xml:space="preserve"> beta</t>
  </si>
  <si>
    <t>Expected rate of return</t>
  </si>
  <si>
    <t>CAPM</t>
  </si>
  <si>
    <t>The expected rate of return for te market or the stocks should be 5%</t>
  </si>
  <si>
    <t>Part d</t>
  </si>
  <si>
    <t>Stock A is a better stock since it pays relatively higher rate of returns</t>
  </si>
  <si>
    <t>DPS</t>
  </si>
  <si>
    <t>Price of a stock= DPS/r</t>
  </si>
  <si>
    <t>3/10.92</t>
  </si>
  <si>
    <t>Stock price</t>
  </si>
  <si>
    <t>Market beta</t>
  </si>
  <si>
    <t>Treasury beta</t>
  </si>
  <si>
    <t>The expected return changes from the beta by being 14% more than the beta value.</t>
  </si>
  <si>
    <t>Risk premium= Market return-risk free rate</t>
  </si>
  <si>
    <t>Negative NPV</t>
  </si>
  <si>
    <t>Beta=(Rate of return-risk free rate)/risk premium</t>
  </si>
  <si>
    <t>IRR</t>
  </si>
  <si>
    <t>Required rate of return</t>
  </si>
  <si>
    <t xml:space="preserve">The project should be accepted its IRR is greater than the required rate of return. </t>
  </si>
  <si>
    <t>Project should be rejected</t>
  </si>
  <si>
    <t>Cost of capital</t>
  </si>
  <si>
    <t>P,Q,S,T</t>
  </si>
  <si>
    <t>Property value=annuity/r</t>
  </si>
  <si>
    <t>Property value</t>
  </si>
  <si>
    <t xml:space="preserve">I would invest in both stock and bond. Diversification of a portfolio reduces risk. </t>
  </si>
  <si>
    <t>Price=DPS/rate</t>
  </si>
  <si>
    <t>part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</si>
</sst>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%"/>
    <numFmt numFmtId="166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10" fontId="0" fillId="0" borderId="0" xfId="0" applyNumberFormat="1"/>
    <xf numFmtId="0" fontId="2" fillId="0" borderId="0" xfId="0" applyFont="1"/>
    <xf numFmtId="10" fontId="2" fillId="0" borderId="0" xfId="0" applyNumberFormat="1" applyFont="1"/>
    <xf numFmtId="9" fontId="2" fillId="0" borderId="0" xfId="0" applyNumberFormat="1" applyFont="1"/>
    <xf numFmtId="0" fontId="2" fillId="0" borderId="0" xfId="0" applyNumberFormat="1" applyFont="1"/>
    <xf numFmtId="10" fontId="0" fillId="0" borderId="0" xfId="1" applyNumberFormat="1" applyFont="1"/>
    <xf numFmtId="10" fontId="2" fillId="0" borderId="0" xfId="1" applyNumberFormat="1" applyFont="1"/>
    <xf numFmtId="9" fontId="2" fillId="0" borderId="0" xfId="1" applyFont="1"/>
    <xf numFmtId="0" fontId="0" fillId="0" borderId="1" xfId="0" applyBorder="1"/>
    <xf numFmtId="9" fontId="2" fillId="0" borderId="1" xfId="1" applyFont="1" applyBorder="1"/>
    <xf numFmtId="0" fontId="2" fillId="0" borderId="1" xfId="0" applyFont="1" applyBorder="1"/>
    <xf numFmtId="0" fontId="0" fillId="0" borderId="1" xfId="0" applyFont="1" applyBorder="1"/>
    <xf numFmtId="9" fontId="1" fillId="0" borderId="1" xfId="1" applyFont="1" applyBorder="1"/>
    <xf numFmtId="0" fontId="2" fillId="0" borderId="1" xfId="0" applyFont="1" applyFill="1" applyBorder="1" applyAlignment="1">
      <alignment wrapText="1"/>
    </xf>
    <xf numFmtId="10" fontId="2" fillId="0" borderId="1" xfId="1" applyNumberFormat="1" applyFont="1" applyBorder="1"/>
    <xf numFmtId="9" fontId="0" fillId="0" borderId="1" xfId="1" applyFont="1" applyBorder="1"/>
    <xf numFmtId="9" fontId="0" fillId="0" borderId="0" xfId="0" applyNumberFormat="1"/>
    <xf numFmtId="10" fontId="0" fillId="0" borderId="1" xfId="0" applyNumberFormat="1" applyBorder="1"/>
    <xf numFmtId="9" fontId="0" fillId="0" borderId="1" xfId="0" applyNumberFormat="1" applyBorder="1"/>
    <xf numFmtId="10" fontId="2" fillId="0" borderId="1" xfId="0" applyNumberFormat="1" applyFont="1" applyBorder="1"/>
    <xf numFmtId="164" fontId="2" fillId="0" borderId="0" xfId="1" applyNumberFormat="1" applyFont="1"/>
    <xf numFmtId="0" fontId="0" fillId="0" borderId="0" xfId="0" applyFont="1"/>
    <xf numFmtId="10" fontId="1" fillId="0" borderId="0" xfId="1" applyNumberFormat="1" applyFont="1"/>
    <xf numFmtId="165" fontId="2" fillId="0" borderId="0" xfId="0" applyNumberFormat="1" applyFont="1"/>
    <xf numFmtId="0" fontId="2" fillId="0" borderId="1" xfId="0" applyFont="1" applyBorder="1" applyAlignment="1">
      <alignment wrapText="1"/>
    </xf>
    <xf numFmtId="0" fontId="0" fillId="0" borderId="0" xfId="0" applyFill="1" applyBorder="1"/>
    <xf numFmtId="0" fontId="2" fillId="0" borderId="0" xfId="0" applyFont="1" applyFill="1" applyBorder="1"/>
    <xf numFmtId="166" fontId="0" fillId="0" borderId="0" xfId="0" applyNumberFormat="1"/>
    <xf numFmtId="0" fontId="0" fillId="2" borderId="0" xfId="0" applyFill="1"/>
    <xf numFmtId="164" fontId="0" fillId="2" borderId="0" xfId="1" applyNumberFormat="1" applyFont="1" applyFill="1"/>
    <xf numFmtId="10" fontId="0" fillId="2" borderId="0" xfId="0" applyNumberFormat="1" applyFill="1"/>
    <xf numFmtId="0" fontId="2" fillId="2" borderId="0" xfId="0" applyFont="1" applyFill="1"/>
    <xf numFmtId="10" fontId="2" fillId="2" borderId="0" xfId="0" applyNumberFormat="1" applyFont="1" applyFill="1"/>
    <xf numFmtId="0" fontId="2" fillId="2" borderId="0" xfId="0" applyNumberFormat="1" applyFont="1" applyFill="1"/>
    <xf numFmtId="10" fontId="0" fillId="2" borderId="0" xfId="1" applyNumberFormat="1" applyFont="1" applyFill="1"/>
    <xf numFmtId="9" fontId="0" fillId="2" borderId="0" xfId="0" applyNumberFormat="1" applyFill="1"/>
    <xf numFmtId="9" fontId="0" fillId="2" borderId="0" xfId="1" applyFont="1" applyFill="1"/>
    <xf numFmtId="10" fontId="1" fillId="2" borderId="0" xfId="1" applyNumberFormat="1" applyFont="1" applyFill="1"/>
    <xf numFmtId="0" fontId="0" fillId="2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9" fontId="0" fillId="2" borderId="1" xfId="1" applyFont="1" applyFill="1" applyBorder="1"/>
    <xf numFmtId="9" fontId="0" fillId="2" borderId="1" xfId="0" applyNumberFormat="1" applyFill="1" applyBorder="1"/>
    <xf numFmtId="165" fontId="2" fillId="2" borderId="0" xfId="0" applyNumberFormat="1" applyFont="1" applyFill="1"/>
    <xf numFmtId="0" fontId="0" fillId="2" borderId="0" xfId="0" applyFont="1" applyFill="1"/>
    <xf numFmtId="0" fontId="0" fillId="0" borderId="0" xfId="0" applyBorder="1"/>
    <xf numFmtId="9" fontId="0" fillId="0" borderId="0" xfId="1" applyFont="1" applyBorder="1"/>
    <xf numFmtId="9" fontId="2" fillId="0" borderId="0" xfId="1" applyFont="1" applyBorder="1"/>
    <xf numFmtId="0" fontId="0" fillId="0" borderId="0" xfId="0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4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275493</xdr:colOff>
      <xdr:row>8</xdr:row>
      <xdr:rowOff>152190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57143" cy="16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6</xdr:col>
      <xdr:colOff>294617</xdr:colOff>
      <xdr:row>31</xdr:row>
      <xdr:rowOff>114071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19500"/>
          <a:ext cx="5266667" cy="18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7</xdr:col>
      <xdr:colOff>361950</xdr:colOff>
      <xdr:row>70</xdr:row>
      <xdr:rowOff>93980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477500"/>
          <a:ext cx="5943600" cy="23799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161925</xdr:colOff>
      <xdr:row>15</xdr:row>
      <xdr:rowOff>117475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3600" cy="29749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2</xdr:col>
      <xdr:colOff>494944</xdr:colOff>
      <xdr:row>25</xdr:row>
      <xdr:rowOff>19000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381500"/>
          <a:ext cx="2847619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7</xdr:col>
      <xdr:colOff>161925</xdr:colOff>
      <xdr:row>48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477000"/>
          <a:ext cx="5943600" cy="32289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7</xdr:col>
      <xdr:colOff>161925</xdr:colOff>
      <xdr:row>73</xdr:row>
      <xdr:rowOff>1270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1620500"/>
          <a:ext cx="5943600" cy="24777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7</xdr:col>
      <xdr:colOff>161925</xdr:colOff>
      <xdr:row>107</xdr:row>
      <xdr:rowOff>67945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6192500"/>
          <a:ext cx="5943600" cy="44494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219075</xdr:colOff>
      <xdr:row>23</xdr:row>
      <xdr:rowOff>148590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3600" cy="45300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8</xdr:col>
      <xdr:colOff>219075</xdr:colOff>
      <xdr:row>67</xdr:row>
      <xdr:rowOff>97155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620500"/>
          <a:ext cx="5943600" cy="12401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8</xdr:col>
      <xdr:colOff>219075</xdr:colOff>
      <xdr:row>86</xdr:row>
      <xdr:rowOff>6985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4287500"/>
          <a:ext cx="5943600" cy="21024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8</xdr:col>
      <xdr:colOff>219075</xdr:colOff>
      <xdr:row>118</xdr:row>
      <xdr:rowOff>40640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8669000"/>
          <a:ext cx="5943600" cy="38506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600075</xdr:colOff>
      <xdr:row>6</xdr:row>
      <xdr:rowOff>34925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3600" cy="1177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8</xdr:col>
      <xdr:colOff>600075</xdr:colOff>
      <xdr:row>34</xdr:row>
      <xdr:rowOff>106045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19500"/>
          <a:ext cx="5943600" cy="2963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8</xdr:col>
      <xdr:colOff>600075</xdr:colOff>
      <xdr:row>63</xdr:row>
      <xdr:rowOff>39370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906000"/>
          <a:ext cx="5943600" cy="21348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28575</xdr:colOff>
      <xdr:row>9</xdr:row>
      <xdr:rowOff>163830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3600" cy="18783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9</xdr:col>
      <xdr:colOff>28575</xdr:colOff>
      <xdr:row>53</xdr:row>
      <xdr:rowOff>82550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905500"/>
          <a:ext cx="5943600" cy="4273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9</xdr:col>
      <xdr:colOff>28575</xdr:colOff>
      <xdr:row>67</xdr:row>
      <xdr:rowOff>71120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811000"/>
          <a:ext cx="5943600" cy="1023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D99"/>
  <sheetViews>
    <sheetView tabSelected="1" topLeftCell="A78" workbookViewId="0">
      <selection activeCell="A10" sqref="A10"/>
    </sheetView>
  </sheetViews>
  <sheetFormatPr defaultRowHeight="15" x14ac:dyDescent="0.25"/>
  <cols>
    <col min="1" max="1" width="16" bestFit="1" customWidth="1"/>
    <col min="2" max="2" width="20.42578125" bestFit="1" customWidth="1"/>
    <col min="3" max="3" width="10.7109375" customWidth="1"/>
  </cols>
  <sheetData>
    <row r="10" spans="1:2" x14ac:dyDescent="0.25">
      <c r="A10" s="2" t="s">
        <v>104</v>
      </c>
    </row>
    <row r="11" spans="1:2" x14ac:dyDescent="0.25">
      <c r="A11" s="29" t="s">
        <v>0</v>
      </c>
      <c r="B11" s="29">
        <v>2</v>
      </c>
    </row>
    <row r="12" spans="1:2" x14ac:dyDescent="0.25">
      <c r="A12" s="29" t="s">
        <v>1</v>
      </c>
      <c r="B12" s="29">
        <v>47</v>
      </c>
    </row>
    <row r="13" spans="1:2" x14ac:dyDescent="0.25">
      <c r="A13" s="29" t="s">
        <v>2</v>
      </c>
      <c r="B13" s="30">
        <f>B11/B12</f>
        <v>4.2553191489361701E-2</v>
      </c>
    </row>
    <row r="14" spans="1:2" x14ac:dyDescent="0.25">
      <c r="A14" s="29" t="s">
        <v>3</v>
      </c>
      <c r="B14" s="31">
        <v>2.3E-2</v>
      </c>
    </row>
    <row r="15" spans="1:2" x14ac:dyDescent="0.25">
      <c r="A15" s="32" t="s">
        <v>4</v>
      </c>
      <c r="B15" s="33">
        <f>B13-B14</f>
        <v>1.9553191489361701E-2</v>
      </c>
    </row>
    <row r="16" spans="1:2" x14ac:dyDescent="0.25">
      <c r="A16" s="32" t="s">
        <v>5</v>
      </c>
      <c r="B16" s="34">
        <v>1</v>
      </c>
    </row>
    <row r="17" spans="1:2" x14ac:dyDescent="0.25">
      <c r="A17" s="29" t="s">
        <v>6</v>
      </c>
      <c r="B17" s="29"/>
    </row>
    <row r="18" spans="1:2" x14ac:dyDescent="0.25">
      <c r="A18" s="2" t="s">
        <v>7</v>
      </c>
      <c r="B18" s="3">
        <f>B14+B16*B15</f>
        <v>4.2553191489361701E-2</v>
      </c>
    </row>
    <row r="19" spans="1:2" x14ac:dyDescent="0.25">
      <c r="A19" s="2"/>
      <c r="B19" s="3"/>
    </row>
    <row r="20" spans="1:2" x14ac:dyDescent="0.25">
      <c r="A20" s="2" t="s">
        <v>11</v>
      </c>
      <c r="B20" s="3"/>
    </row>
    <row r="21" spans="1:2" x14ac:dyDescent="0.25">
      <c r="A21" s="45" t="s">
        <v>103</v>
      </c>
      <c r="B21" s="33"/>
    </row>
    <row r="22" spans="1:2" x14ac:dyDescent="0.25">
      <c r="B22" s="2">
        <f>2/B18</f>
        <v>47</v>
      </c>
    </row>
    <row r="33" spans="1:4" x14ac:dyDescent="0.25">
      <c r="A33" s="2" t="s">
        <v>12</v>
      </c>
    </row>
    <row r="34" spans="1:4" x14ac:dyDescent="0.25">
      <c r="A34" s="29" t="s">
        <v>8</v>
      </c>
      <c r="B34" s="29" t="s">
        <v>10</v>
      </c>
      <c r="C34" s="29" t="s">
        <v>9</v>
      </c>
      <c r="D34" s="2" t="s">
        <v>4</v>
      </c>
    </row>
    <row r="35" spans="1:4" x14ac:dyDescent="0.25">
      <c r="A35" s="29">
        <v>2013</v>
      </c>
      <c r="B35" s="31">
        <v>0.35599999999999998</v>
      </c>
      <c r="C35" s="31">
        <v>2E-3</v>
      </c>
      <c r="D35" s="3">
        <f>B35-C35</f>
        <v>0.35399999999999998</v>
      </c>
    </row>
    <row r="36" spans="1:4" x14ac:dyDescent="0.25">
      <c r="A36" s="29">
        <f>A35+1</f>
        <v>2014</v>
      </c>
      <c r="B36" s="31">
        <v>0.151</v>
      </c>
      <c r="C36" s="31">
        <v>2E-3</v>
      </c>
      <c r="D36" s="3">
        <f t="shared" ref="D36:D39" si="0">B36-C36</f>
        <v>0.14899999999999999</v>
      </c>
    </row>
    <row r="37" spans="1:4" x14ac:dyDescent="0.25">
      <c r="A37" s="29">
        <f t="shared" ref="A37:A39" si="1">A36+1</f>
        <v>2015</v>
      </c>
      <c r="B37" s="31">
        <v>-0.05</v>
      </c>
      <c r="C37" s="31">
        <v>2E-3</v>
      </c>
      <c r="D37" s="3">
        <f t="shared" si="0"/>
        <v>-5.2000000000000005E-2</v>
      </c>
    </row>
    <row r="38" spans="1:4" x14ac:dyDescent="0.25">
      <c r="A38" s="29">
        <f t="shared" si="1"/>
        <v>2016</v>
      </c>
      <c r="B38" s="31">
        <v>0.16700000000000001</v>
      </c>
      <c r="C38" s="31">
        <v>6.9999999999999999E-4</v>
      </c>
      <c r="D38" s="3">
        <f t="shared" si="0"/>
        <v>0.1663</v>
      </c>
    </row>
    <row r="39" spans="1:4" x14ac:dyDescent="0.25">
      <c r="A39" s="29">
        <f t="shared" si="1"/>
        <v>2017</v>
      </c>
      <c r="B39" s="31">
        <v>0.255</v>
      </c>
      <c r="C39" s="31">
        <v>8.9999999999999998E-4</v>
      </c>
      <c r="D39" s="3">
        <f t="shared" si="0"/>
        <v>0.25409999999999999</v>
      </c>
    </row>
    <row r="41" spans="1:4" x14ac:dyDescent="0.25">
      <c r="A41" s="2" t="s">
        <v>11</v>
      </c>
    </row>
    <row r="42" spans="1:4" x14ac:dyDescent="0.25">
      <c r="A42" s="29" t="s">
        <v>8</v>
      </c>
      <c r="B42" s="32" t="s">
        <v>4</v>
      </c>
    </row>
    <row r="43" spans="1:4" x14ac:dyDescent="0.25">
      <c r="A43" s="29">
        <v>2013</v>
      </c>
      <c r="B43" s="31">
        <f>D35</f>
        <v>0.35399999999999998</v>
      </c>
    </row>
    <row r="44" spans="1:4" x14ac:dyDescent="0.25">
      <c r="A44" s="29">
        <f>A43+1</f>
        <v>2014</v>
      </c>
      <c r="B44" s="31">
        <f t="shared" ref="B44:B47" si="2">D36</f>
        <v>0.14899999999999999</v>
      </c>
    </row>
    <row r="45" spans="1:4" x14ac:dyDescent="0.25">
      <c r="A45" s="29">
        <f t="shared" ref="A45:A47" si="3">A44+1</f>
        <v>2015</v>
      </c>
      <c r="B45" s="31">
        <f t="shared" si="2"/>
        <v>-5.2000000000000005E-2</v>
      </c>
    </row>
    <row r="46" spans="1:4" x14ac:dyDescent="0.25">
      <c r="A46" s="29">
        <f t="shared" si="3"/>
        <v>2016</v>
      </c>
      <c r="B46" s="31">
        <f t="shared" si="2"/>
        <v>0.1663</v>
      </c>
    </row>
    <row r="47" spans="1:4" x14ac:dyDescent="0.25">
      <c r="A47" s="29">
        <f t="shared" si="3"/>
        <v>2017</v>
      </c>
      <c r="B47" s="31">
        <f t="shared" si="2"/>
        <v>0.25409999999999999</v>
      </c>
    </row>
    <row r="48" spans="1:4" x14ac:dyDescent="0.25">
      <c r="A48" s="2" t="s">
        <v>13</v>
      </c>
      <c r="B48" s="3">
        <f>AVERAGE(B43:B47)</f>
        <v>0.17427999999999999</v>
      </c>
    </row>
    <row r="50" spans="1:2" x14ac:dyDescent="0.25">
      <c r="A50" s="2" t="s">
        <v>14</v>
      </c>
    </row>
    <row r="51" spans="1:2" x14ac:dyDescent="0.25">
      <c r="A51" s="32" t="s">
        <v>8</v>
      </c>
      <c r="B51" s="32" t="s">
        <v>4</v>
      </c>
    </row>
    <row r="52" spans="1:2" x14ac:dyDescent="0.25">
      <c r="A52" s="29">
        <v>2013</v>
      </c>
      <c r="B52" s="31">
        <f>B43</f>
        <v>0.35399999999999998</v>
      </c>
    </row>
    <row r="53" spans="1:2" x14ac:dyDescent="0.25">
      <c r="A53" s="29">
        <f>A52+1</f>
        <v>2014</v>
      </c>
      <c r="B53" s="31">
        <f t="shared" ref="B53:B56" si="4">B44</f>
        <v>0.14899999999999999</v>
      </c>
    </row>
    <row r="54" spans="1:2" x14ac:dyDescent="0.25">
      <c r="A54" s="29">
        <f t="shared" ref="A54:A56" si="5">A53+1</f>
        <v>2015</v>
      </c>
      <c r="B54" s="31">
        <f t="shared" si="4"/>
        <v>-5.2000000000000005E-2</v>
      </c>
    </row>
    <row r="55" spans="1:2" x14ac:dyDescent="0.25">
      <c r="A55" s="29">
        <f t="shared" si="5"/>
        <v>2016</v>
      </c>
      <c r="B55" s="31">
        <f t="shared" si="4"/>
        <v>0.1663</v>
      </c>
    </row>
    <row r="56" spans="1:2" x14ac:dyDescent="0.25">
      <c r="A56" s="29">
        <f t="shared" si="5"/>
        <v>2017</v>
      </c>
      <c r="B56" s="31">
        <f t="shared" si="4"/>
        <v>0.25409999999999999</v>
      </c>
    </row>
    <row r="57" spans="1:2" x14ac:dyDescent="0.25">
      <c r="A57" s="2" t="s">
        <v>15</v>
      </c>
      <c r="B57" s="3">
        <f>STDEV(B52:B56)</f>
        <v>0.15047915802528936</v>
      </c>
    </row>
    <row r="72" spans="1:2" x14ac:dyDescent="0.25">
      <c r="A72" s="2" t="s">
        <v>12</v>
      </c>
    </row>
    <row r="73" spans="1:2" x14ac:dyDescent="0.25">
      <c r="A73" s="29" t="s">
        <v>0</v>
      </c>
      <c r="B73" s="29">
        <v>4</v>
      </c>
    </row>
    <row r="74" spans="1:2" x14ac:dyDescent="0.25">
      <c r="A74" s="29" t="s">
        <v>18</v>
      </c>
      <c r="B74" s="29">
        <v>80</v>
      </c>
    </row>
    <row r="75" spans="1:2" x14ac:dyDescent="0.25">
      <c r="A75" s="29" t="s">
        <v>17</v>
      </c>
      <c r="B75" s="29">
        <v>92</v>
      </c>
    </row>
    <row r="76" spans="1:2" x14ac:dyDescent="0.25">
      <c r="A76" s="29" t="s">
        <v>19</v>
      </c>
      <c r="B76" s="29">
        <f>B75-B74</f>
        <v>12</v>
      </c>
    </row>
    <row r="77" spans="1:2" x14ac:dyDescent="0.25">
      <c r="A77" s="29" t="s">
        <v>20</v>
      </c>
      <c r="B77" s="35">
        <f>(B75-B74)/B74</f>
        <v>0.15</v>
      </c>
    </row>
    <row r="78" spans="1:2" x14ac:dyDescent="0.25">
      <c r="A78" s="29" t="s">
        <v>21</v>
      </c>
      <c r="B78" s="35">
        <f>B73/B74</f>
        <v>0.05</v>
      </c>
    </row>
    <row r="79" spans="1:2" x14ac:dyDescent="0.25">
      <c r="A79" s="2" t="s">
        <v>22</v>
      </c>
      <c r="B79" s="3">
        <f>B77+B78</f>
        <v>0.2</v>
      </c>
    </row>
    <row r="81" spans="1:2" x14ac:dyDescent="0.25">
      <c r="A81" s="2" t="s">
        <v>11</v>
      </c>
    </row>
    <row r="82" spans="1:2" x14ac:dyDescent="0.25">
      <c r="A82" s="29" t="s">
        <v>23</v>
      </c>
      <c r="B82" s="29"/>
    </row>
    <row r="83" spans="1:2" x14ac:dyDescent="0.25">
      <c r="A83" s="29" t="s">
        <v>0</v>
      </c>
      <c r="B83" s="29">
        <v>4</v>
      </c>
    </row>
    <row r="84" spans="1:2" x14ac:dyDescent="0.25">
      <c r="A84" s="29" t="s">
        <v>18</v>
      </c>
      <c r="B84" s="29">
        <v>80</v>
      </c>
    </row>
    <row r="85" spans="1:2" x14ac:dyDescent="0.25">
      <c r="A85" s="29" t="s">
        <v>17</v>
      </c>
      <c r="B85" s="29">
        <v>92</v>
      </c>
    </row>
    <row r="86" spans="1:2" x14ac:dyDescent="0.25">
      <c r="A86" s="29" t="s">
        <v>19</v>
      </c>
      <c r="B86" s="29">
        <f>B85-B84</f>
        <v>12</v>
      </c>
    </row>
    <row r="87" spans="1:2" x14ac:dyDescent="0.25">
      <c r="A87" s="2" t="s">
        <v>20</v>
      </c>
      <c r="B87" s="7">
        <f>(B85-B84)/B84</f>
        <v>0.15</v>
      </c>
    </row>
    <row r="88" spans="1:2" x14ac:dyDescent="0.25">
      <c r="A88" s="29" t="s">
        <v>24</v>
      </c>
      <c r="B88" s="35"/>
    </row>
    <row r="89" spans="1:2" x14ac:dyDescent="0.25">
      <c r="A89" s="2" t="s">
        <v>21</v>
      </c>
      <c r="B89" s="7">
        <f>B83/B84</f>
        <v>0.05</v>
      </c>
    </row>
    <row r="91" spans="1:2" x14ac:dyDescent="0.25">
      <c r="A91" s="2" t="s">
        <v>14</v>
      </c>
    </row>
    <row r="92" spans="1:2" x14ac:dyDescent="0.25">
      <c r="A92" s="29" t="s">
        <v>23</v>
      </c>
      <c r="B92" s="29"/>
    </row>
    <row r="93" spans="1:2" x14ac:dyDescent="0.25">
      <c r="A93" s="29" t="s">
        <v>0</v>
      </c>
      <c r="B93" s="29">
        <v>4</v>
      </c>
    </row>
    <row r="94" spans="1:2" x14ac:dyDescent="0.25">
      <c r="A94" s="29" t="s">
        <v>18</v>
      </c>
      <c r="B94" s="29">
        <v>80</v>
      </c>
    </row>
    <row r="95" spans="1:2" x14ac:dyDescent="0.25">
      <c r="A95" s="29" t="s">
        <v>17</v>
      </c>
      <c r="B95" s="29">
        <v>76</v>
      </c>
    </row>
    <row r="96" spans="1:2" x14ac:dyDescent="0.25">
      <c r="A96" s="29" t="s">
        <v>19</v>
      </c>
      <c r="B96" s="29">
        <f>B95-B94</f>
        <v>-4</v>
      </c>
    </row>
    <row r="97" spans="1:2" x14ac:dyDescent="0.25">
      <c r="A97" s="2" t="s">
        <v>20</v>
      </c>
      <c r="B97" s="7">
        <f>(B95-B94)/B94</f>
        <v>-0.05</v>
      </c>
    </row>
    <row r="98" spans="1:2" x14ac:dyDescent="0.25">
      <c r="A98" s="29" t="s">
        <v>24</v>
      </c>
      <c r="B98" s="35"/>
    </row>
    <row r="99" spans="1:2" x14ac:dyDescent="0.25">
      <c r="A99" s="2" t="s">
        <v>21</v>
      </c>
      <c r="B99" s="7">
        <f>B93/B94</f>
        <v>0.05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7:H123"/>
  <sheetViews>
    <sheetView topLeftCell="A37" workbookViewId="0">
      <selection activeCell="F53" sqref="F53"/>
    </sheetView>
  </sheetViews>
  <sheetFormatPr defaultRowHeight="15" x14ac:dyDescent="0.25"/>
  <cols>
    <col min="1" max="1" width="25.85546875" customWidth="1"/>
    <col min="2" max="2" width="9.42578125" customWidth="1"/>
    <col min="5" max="5" width="13.42578125" bestFit="1" customWidth="1"/>
    <col min="6" max="6" width="10.5703125" customWidth="1"/>
  </cols>
  <sheetData>
    <row r="17" spans="1:6" x14ac:dyDescent="0.25">
      <c r="A17" s="2" t="s">
        <v>12</v>
      </c>
    </row>
    <row r="18" spans="1:6" x14ac:dyDescent="0.25">
      <c r="A18" s="9"/>
      <c r="B18" s="9" t="s">
        <v>18</v>
      </c>
      <c r="C18" s="9" t="s">
        <v>25</v>
      </c>
      <c r="D18" s="9" t="s">
        <v>26</v>
      </c>
      <c r="E18" s="11" t="s">
        <v>7</v>
      </c>
    </row>
    <row r="19" spans="1:6" x14ac:dyDescent="0.25">
      <c r="A19" s="9">
        <v>1</v>
      </c>
      <c r="B19" s="9">
        <v>23</v>
      </c>
      <c r="C19" s="9">
        <v>25</v>
      </c>
      <c r="D19" s="9">
        <f>B19-C19+2</f>
        <v>0</v>
      </c>
      <c r="E19" s="10">
        <f>D19/C19</f>
        <v>0</v>
      </c>
    </row>
    <row r="20" spans="1:6" x14ac:dyDescent="0.25">
      <c r="A20" s="9">
        <v>2</v>
      </c>
      <c r="B20" s="9">
        <v>25</v>
      </c>
      <c r="C20" s="9">
        <v>25</v>
      </c>
      <c r="D20" s="9">
        <f t="shared" ref="D20:D21" si="0">B20-C20+2</f>
        <v>2</v>
      </c>
      <c r="E20" s="10">
        <f t="shared" ref="E20:E21" si="1">D20/C20</f>
        <v>0.08</v>
      </c>
    </row>
    <row r="21" spans="1:6" x14ac:dyDescent="0.25">
      <c r="A21" s="9">
        <v>3</v>
      </c>
      <c r="B21" s="9">
        <v>28</v>
      </c>
      <c r="C21" s="9">
        <v>25</v>
      </c>
      <c r="D21" s="9">
        <f t="shared" si="0"/>
        <v>5</v>
      </c>
      <c r="E21" s="10">
        <f t="shared" si="1"/>
        <v>0.2</v>
      </c>
    </row>
    <row r="23" spans="1:6" x14ac:dyDescent="0.25">
      <c r="A23" s="2" t="s">
        <v>11</v>
      </c>
    </row>
    <row r="28" spans="1:6" ht="45" x14ac:dyDescent="0.25">
      <c r="A28" s="9"/>
      <c r="B28" s="9" t="s">
        <v>18</v>
      </c>
      <c r="C28" s="9" t="s">
        <v>25</v>
      </c>
      <c r="D28" s="9" t="s">
        <v>26</v>
      </c>
      <c r="E28" s="12" t="s">
        <v>7</v>
      </c>
      <c r="F28" s="14" t="s">
        <v>27</v>
      </c>
    </row>
    <row r="29" spans="1:6" x14ac:dyDescent="0.25">
      <c r="A29" s="9">
        <v>1</v>
      </c>
      <c r="B29" s="9">
        <v>23</v>
      </c>
      <c r="C29" s="9">
        <v>25</v>
      </c>
      <c r="D29" s="9">
        <f>B29-C29+2</f>
        <v>0</v>
      </c>
      <c r="E29" s="13">
        <f>D29/C29</f>
        <v>0</v>
      </c>
      <c r="F29" s="15">
        <f>((1+E29)/(1+0.05))-1</f>
        <v>-4.7619047619047672E-2</v>
      </c>
    </row>
    <row r="30" spans="1:6" x14ac:dyDescent="0.25">
      <c r="A30" s="9">
        <v>2</v>
      </c>
      <c r="B30" s="9">
        <v>25</v>
      </c>
      <c r="C30" s="9">
        <v>25</v>
      </c>
      <c r="D30" s="9">
        <f t="shared" ref="D30:D31" si="2">B30-C30+2</f>
        <v>2</v>
      </c>
      <c r="E30" s="13">
        <f t="shared" ref="E30:E31" si="3">D30/C30</f>
        <v>0.08</v>
      </c>
      <c r="F30" s="15">
        <f t="shared" ref="F30:F31" si="4">((1+E30)/(1+0.05))-1</f>
        <v>2.8571428571428692E-2</v>
      </c>
    </row>
    <row r="31" spans="1:6" x14ac:dyDescent="0.25">
      <c r="A31" s="9">
        <v>3</v>
      </c>
      <c r="B31" s="9">
        <v>28</v>
      </c>
      <c r="C31" s="9">
        <v>25</v>
      </c>
      <c r="D31" s="9">
        <f t="shared" si="2"/>
        <v>5</v>
      </c>
      <c r="E31" s="13">
        <f t="shared" si="3"/>
        <v>0.2</v>
      </c>
      <c r="F31" s="15">
        <f t="shared" si="4"/>
        <v>0.14285714285714279</v>
      </c>
    </row>
    <row r="50" spans="1:3" x14ac:dyDescent="0.25">
      <c r="A50" s="2" t="s">
        <v>12</v>
      </c>
    </row>
    <row r="51" spans="1:3" x14ac:dyDescent="0.25">
      <c r="A51" t="s">
        <v>28</v>
      </c>
    </row>
    <row r="52" spans="1:3" x14ac:dyDescent="0.25">
      <c r="A52" s="2" t="s">
        <v>11</v>
      </c>
    </row>
    <row r="53" spans="1:3" x14ac:dyDescent="0.25">
      <c r="A53" s="9"/>
      <c r="B53" s="11" t="s">
        <v>31</v>
      </c>
      <c r="C53" s="11" t="s">
        <v>32</v>
      </c>
    </row>
    <row r="54" spans="1:3" x14ac:dyDescent="0.25">
      <c r="A54" s="9" t="s">
        <v>29</v>
      </c>
      <c r="B54" s="16">
        <f>(0.2*-8%+0.6*21%+0.2*25%)</f>
        <v>0.16</v>
      </c>
      <c r="C54" s="10">
        <f>STDEV(-8%,21%,25%)</f>
        <v>0.18009256878986799</v>
      </c>
    </row>
    <row r="55" spans="1:3" x14ac:dyDescent="0.25">
      <c r="A55" s="9" t="s">
        <v>30</v>
      </c>
      <c r="B55" s="16">
        <f>0.2*20%+0.6*12%+0.2*6%</f>
        <v>0.124</v>
      </c>
      <c r="C55" s="10">
        <f>STDEV(20%,12%,6%)</f>
        <v>7.023769168568493E-2</v>
      </c>
    </row>
    <row r="56" spans="1:3" x14ac:dyDescent="0.25">
      <c r="A56" s="46"/>
      <c r="B56" s="47"/>
      <c r="C56" s="48"/>
    </row>
    <row r="57" spans="1:3" x14ac:dyDescent="0.25">
      <c r="A57" s="27" t="s">
        <v>14</v>
      </c>
    </row>
    <row r="58" spans="1:3" x14ac:dyDescent="0.25">
      <c r="A58" s="9"/>
      <c r="B58" s="11" t="s">
        <v>34</v>
      </c>
      <c r="C58" s="9" t="s">
        <v>35</v>
      </c>
    </row>
    <row r="59" spans="1:3" x14ac:dyDescent="0.25">
      <c r="A59" s="9" t="s">
        <v>33</v>
      </c>
      <c r="B59" s="11" t="s">
        <v>36</v>
      </c>
      <c r="C59" s="9"/>
    </row>
    <row r="74" spans="1:8" x14ac:dyDescent="0.25">
      <c r="A74" s="2" t="s">
        <v>12</v>
      </c>
    </row>
    <row r="75" spans="1:8" x14ac:dyDescent="0.25">
      <c r="A75" s="9"/>
      <c r="B75" s="9">
        <v>1</v>
      </c>
      <c r="C75" s="9">
        <v>2</v>
      </c>
      <c r="D75" s="9">
        <v>3</v>
      </c>
      <c r="E75" s="9">
        <v>4</v>
      </c>
      <c r="F75" s="9">
        <v>5</v>
      </c>
      <c r="G75" s="11" t="s">
        <v>39</v>
      </c>
      <c r="H75" s="11" t="s">
        <v>40</v>
      </c>
    </row>
    <row r="76" spans="1:8" x14ac:dyDescent="0.25">
      <c r="A76" s="9" t="s">
        <v>37</v>
      </c>
      <c r="B76" s="18">
        <v>-1.4999999999999999E-2</v>
      </c>
      <c r="C76" s="18">
        <v>0.24099999999999999</v>
      </c>
      <c r="D76" s="19">
        <v>0.42</v>
      </c>
      <c r="E76" s="19">
        <v>0.11</v>
      </c>
      <c r="F76" s="18">
        <v>5.0000000000000001E-3</v>
      </c>
      <c r="G76" s="20">
        <f>AVERAGE(B76:F76)</f>
        <v>0.15219999999999997</v>
      </c>
      <c r="H76" s="10">
        <f>STDEV(B76:F76)</f>
        <v>0.18097430756878169</v>
      </c>
    </row>
    <row r="77" spans="1:8" x14ac:dyDescent="0.25">
      <c r="A77" s="9" t="s">
        <v>38</v>
      </c>
      <c r="B77" s="18">
        <v>-6.0000000000000001E-3</v>
      </c>
      <c r="C77" s="19">
        <v>0.17</v>
      </c>
      <c r="D77" s="18">
        <v>0.315</v>
      </c>
      <c r="E77" s="19">
        <v>0.1</v>
      </c>
      <c r="F77" s="18">
        <v>-4.0000000000000001E-3</v>
      </c>
      <c r="G77" s="20">
        <f>AVERAGE(B77:F77)</f>
        <v>0.11499999999999999</v>
      </c>
      <c r="H77" s="10">
        <f>STDEV(B77:F77)</f>
        <v>0.13421251804507658</v>
      </c>
    </row>
    <row r="80" spans="1:8" x14ac:dyDescent="0.25">
      <c r="A80" s="2" t="s">
        <v>11</v>
      </c>
    </row>
    <row r="81" spans="1:5" x14ac:dyDescent="0.25">
      <c r="A81" s="49" t="s">
        <v>41</v>
      </c>
      <c r="B81" s="49"/>
      <c r="C81" s="49"/>
      <c r="D81" s="49"/>
      <c r="E81" s="49"/>
    </row>
    <row r="82" spans="1:5" x14ac:dyDescent="0.25">
      <c r="A82" s="49"/>
      <c r="B82" s="49"/>
      <c r="C82" s="49"/>
      <c r="D82" s="49"/>
      <c r="E82" s="49"/>
    </row>
    <row r="83" spans="1:5" x14ac:dyDescent="0.25">
      <c r="A83" s="49"/>
      <c r="B83" s="49"/>
      <c r="C83" s="49"/>
      <c r="D83" s="49"/>
      <c r="E83" s="49"/>
    </row>
    <row r="109" spans="1:5" x14ac:dyDescent="0.25">
      <c r="A109" s="2" t="s">
        <v>12</v>
      </c>
    </row>
    <row r="110" spans="1:5" x14ac:dyDescent="0.25">
      <c r="A110" s="29"/>
      <c r="B110" s="29"/>
      <c r="C110" s="29" t="s">
        <v>7</v>
      </c>
      <c r="D110" s="29"/>
    </row>
    <row r="111" spans="1:5" x14ac:dyDescent="0.25">
      <c r="A111" s="29" t="s">
        <v>42</v>
      </c>
      <c r="B111" s="29" t="s">
        <v>46</v>
      </c>
      <c r="C111" s="29" t="s">
        <v>29</v>
      </c>
      <c r="D111" s="29" t="s">
        <v>30</v>
      </c>
      <c r="E111" s="2" t="s">
        <v>7</v>
      </c>
    </row>
    <row r="112" spans="1:5" x14ac:dyDescent="0.25">
      <c r="A112" s="29" t="s">
        <v>43</v>
      </c>
      <c r="B112" s="29">
        <v>0.2</v>
      </c>
      <c r="C112" s="36">
        <v>-7.0000000000000007E-2</v>
      </c>
      <c r="D112" s="36">
        <v>0.15</v>
      </c>
      <c r="E112" s="7">
        <f>(0.6*C112+0.4*D112)*B112</f>
        <v>3.599999999999999E-3</v>
      </c>
    </row>
    <row r="113" spans="1:5" x14ac:dyDescent="0.25">
      <c r="A113" s="29" t="s">
        <v>44</v>
      </c>
      <c r="B113" s="29">
        <v>0.7</v>
      </c>
      <c r="C113" s="36">
        <v>0.16</v>
      </c>
      <c r="D113" s="36">
        <v>0.09</v>
      </c>
      <c r="E113" s="7">
        <f t="shared" ref="E113:E114" si="5">(0.6*C113+0.4*D113)*B113</f>
        <v>9.2399999999999996E-2</v>
      </c>
    </row>
    <row r="114" spans="1:5" x14ac:dyDescent="0.25">
      <c r="A114" s="29" t="s">
        <v>45</v>
      </c>
      <c r="B114" s="29">
        <v>0.1</v>
      </c>
      <c r="C114" s="36">
        <v>0.25</v>
      </c>
      <c r="D114" s="36">
        <v>0.06</v>
      </c>
      <c r="E114" s="7">
        <f t="shared" si="5"/>
        <v>1.7399999999999999E-2</v>
      </c>
    </row>
    <row r="115" spans="1:5" x14ac:dyDescent="0.25">
      <c r="C115" s="17"/>
      <c r="D115" s="17"/>
      <c r="E115" s="7"/>
    </row>
    <row r="116" spans="1:5" x14ac:dyDescent="0.25">
      <c r="A116" s="2" t="s">
        <v>49</v>
      </c>
      <c r="C116" s="17"/>
      <c r="D116" s="17"/>
      <c r="E116" s="7"/>
    </row>
    <row r="117" spans="1:5" x14ac:dyDescent="0.25">
      <c r="A117" s="2" t="s">
        <v>47</v>
      </c>
      <c r="B117" s="2"/>
      <c r="C117" s="2"/>
      <c r="D117" s="2"/>
      <c r="E117" s="3">
        <f>E112+E113+E114</f>
        <v>0.1134</v>
      </c>
    </row>
    <row r="118" spans="1:5" x14ac:dyDescent="0.25">
      <c r="A118" s="29" t="s">
        <v>40</v>
      </c>
      <c r="B118" s="29"/>
      <c r="C118" s="37">
        <f>STDEV(B112:C114)</f>
        <v>0.2583537626330738</v>
      </c>
      <c r="D118" s="37">
        <f>STDEV(B112:B114,D112:D114)</f>
        <v>0.24188151369351618</v>
      </c>
    </row>
    <row r="119" spans="1:5" x14ac:dyDescent="0.25">
      <c r="A119" s="2" t="s">
        <v>48</v>
      </c>
      <c r="B119" s="2"/>
      <c r="C119" s="2"/>
      <c r="D119" s="2"/>
      <c r="E119" s="21">
        <f>0.6*C118+D118*0.4</f>
        <v>0.25176486305725077</v>
      </c>
    </row>
    <row r="121" spans="1:5" x14ac:dyDescent="0.25">
      <c r="A121" s="2" t="s">
        <v>14</v>
      </c>
    </row>
    <row r="122" spans="1:5" x14ac:dyDescent="0.25">
      <c r="A122" s="49" t="s">
        <v>102</v>
      </c>
      <c r="B122" s="49"/>
      <c r="C122" s="49"/>
      <c r="D122" s="49"/>
      <c r="E122" s="49"/>
    </row>
    <row r="123" spans="1:5" x14ac:dyDescent="0.25">
      <c r="A123" s="49"/>
      <c r="B123" s="49"/>
      <c r="C123" s="49"/>
      <c r="D123" s="49"/>
      <c r="E123" s="49"/>
    </row>
  </sheetData>
  <mergeCells count="2">
    <mergeCell ref="A81:E83"/>
    <mergeCell ref="A122:E123"/>
  </mergeCells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6:E137"/>
  <sheetViews>
    <sheetView workbookViewId="0">
      <selection activeCell="C1" sqref="C1"/>
    </sheetView>
  </sheetViews>
  <sheetFormatPr defaultRowHeight="15" x14ac:dyDescent="0.25"/>
  <cols>
    <col min="1" max="1" width="21.85546875" bestFit="1" customWidth="1"/>
  </cols>
  <sheetData>
    <row r="26" spans="1:3" x14ac:dyDescent="0.25">
      <c r="A26" s="2" t="s">
        <v>61</v>
      </c>
    </row>
    <row r="27" spans="1:3" x14ac:dyDescent="0.25">
      <c r="A27" s="32"/>
      <c r="B27" s="32" t="s">
        <v>58</v>
      </c>
      <c r="C27" s="32" t="s">
        <v>59</v>
      </c>
    </row>
    <row r="28" spans="1:3" x14ac:dyDescent="0.25">
      <c r="A28" s="29" t="s">
        <v>50</v>
      </c>
      <c r="B28" s="36">
        <v>0.15</v>
      </c>
      <c r="C28" s="36">
        <v>0.08</v>
      </c>
    </row>
    <row r="29" spans="1:3" x14ac:dyDescent="0.25">
      <c r="A29" s="29" t="s">
        <v>51</v>
      </c>
      <c r="B29" s="36">
        <v>-0.04</v>
      </c>
      <c r="C29" s="36">
        <v>0.02</v>
      </c>
    </row>
    <row r="30" spans="1:3" x14ac:dyDescent="0.25">
      <c r="A30" s="29" t="s">
        <v>52</v>
      </c>
      <c r="B30" s="36">
        <v>0.06</v>
      </c>
      <c r="C30" s="36">
        <v>7.0000000000000007E-2</v>
      </c>
    </row>
    <row r="31" spans="1:3" x14ac:dyDescent="0.25">
      <c r="A31" s="29" t="s">
        <v>53</v>
      </c>
      <c r="B31" s="36">
        <v>0.08</v>
      </c>
      <c r="C31" s="36">
        <v>0.15</v>
      </c>
    </row>
    <row r="32" spans="1:3" x14ac:dyDescent="0.25">
      <c r="A32" s="29" t="s">
        <v>54</v>
      </c>
      <c r="B32" s="36">
        <v>-0.05</v>
      </c>
      <c r="C32" s="36">
        <v>0.03</v>
      </c>
    </row>
    <row r="33" spans="1:5" x14ac:dyDescent="0.25">
      <c r="A33" s="29" t="s">
        <v>55</v>
      </c>
      <c r="B33" s="36">
        <v>0.04</v>
      </c>
      <c r="C33" s="36">
        <v>0.08</v>
      </c>
    </row>
    <row r="34" spans="1:5" x14ac:dyDescent="0.25">
      <c r="A34" s="29" t="s">
        <v>56</v>
      </c>
      <c r="B34" s="36">
        <v>-0.03</v>
      </c>
      <c r="C34" s="36">
        <v>-0.04</v>
      </c>
    </row>
    <row r="35" spans="1:5" x14ac:dyDescent="0.25">
      <c r="A35" s="29" t="s">
        <v>57</v>
      </c>
      <c r="B35" s="36">
        <v>-0.09</v>
      </c>
      <c r="C35" s="36">
        <v>-0.03</v>
      </c>
    </row>
    <row r="36" spans="1:5" x14ac:dyDescent="0.25">
      <c r="A36" s="2" t="s">
        <v>60</v>
      </c>
      <c r="B36" s="7">
        <f>VAR(B28:B35)</f>
        <v>6.4857142857142839E-3</v>
      </c>
      <c r="C36" s="7">
        <f>VAR(C28:C35)</f>
        <v>3.9714285714285711E-3</v>
      </c>
    </row>
    <row r="37" spans="1:5" x14ac:dyDescent="0.25">
      <c r="A37" s="2" t="s">
        <v>40</v>
      </c>
      <c r="B37" s="2">
        <f>STDEV(B28:B35)</f>
        <v>8.0533932511173717E-2</v>
      </c>
      <c r="C37" s="2">
        <f>STDEV(C28:C35)</f>
        <v>6.3019271428893645E-2</v>
      </c>
    </row>
    <row r="39" spans="1:5" x14ac:dyDescent="0.25">
      <c r="A39" s="2" t="s">
        <v>62</v>
      </c>
    </row>
    <row r="40" spans="1:5" x14ac:dyDescent="0.25">
      <c r="A40" s="49" t="s">
        <v>63</v>
      </c>
      <c r="B40" s="49"/>
      <c r="C40" s="49"/>
      <c r="D40" s="49"/>
      <c r="E40" s="49"/>
    </row>
    <row r="41" spans="1:5" x14ac:dyDescent="0.25">
      <c r="A41" s="49"/>
      <c r="B41" s="49"/>
      <c r="C41" s="49"/>
      <c r="D41" s="49"/>
      <c r="E41" s="49"/>
    </row>
    <row r="43" spans="1:5" x14ac:dyDescent="0.25">
      <c r="A43" s="2" t="s">
        <v>11</v>
      </c>
    </row>
    <row r="44" spans="1:5" x14ac:dyDescent="0.25">
      <c r="A44" s="2"/>
      <c r="B44" s="2" t="s">
        <v>66</v>
      </c>
      <c r="C44" s="2"/>
    </row>
    <row r="45" spans="1:5" x14ac:dyDescent="0.25">
      <c r="A45" s="29" t="s">
        <v>50</v>
      </c>
      <c r="B45" s="17">
        <f>0.5*B28+0.5*C28</f>
        <v>0.11499999999999999</v>
      </c>
      <c r="C45" s="17"/>
    </row>
    <row r="46" spans="1:5" x14ac:dyDescent="0.25">
      <c r="A46" s="29" t="s">
        <v>51</v>
      </c>
      <c r="B46" s="17">
        <v>-0.04</v>
      </c>
      <c r="C46" s="17"/>
    </row>
    <row r="47" spans="1:5" x14ac:dyDescent="0.25">
      <c r="A47" s="29" t="s">
        <v>52</v>
      </c>
      <c r="B47" s="17">
        <v>0.06</v>
      </c>
      <c r="C47" s="17"/>
    </row>
    <row r="48" spans="1:5" x14ac:dyDescent="0.25">
      <c r="A48" s="29" t="s">
        <v>53</v>
      </c>
      <c r="B48" s="17">
        <v>0.08</v>
      </c>
      <c r="C48" s="17"/>
    </row>
    <row r="49" spans="1:3" x14ac:dyDescent="0.25">
      <c r="A49" s="29" t="s">
        <v>54</v>
      </c>
      <c r="B49" s="17">
        <v>-0.05</v>
      </c>
      <c r="C49" s="17"/>
    </row>
    <row r="50" spans="1:3" x14ac:dyDescent="0.25">
      <c r="A50" s="29" t="s">
        <v>55</v>
      </c>
      <c r="B50" s="17">
        <v>0.04</v>
      </c>
      <c r="C50" s="17"/>
    </row>
    <row r="51" spans="1:3" x14ac:dyDescent="0.25">
      <c r="A51" s="29" t="s">
        <v>56</v>
      </c>
      <c r="B51" s="17">
        <v>-0.03</v>
      </c>
      <c r="C51" s="17"/>
    </row>
    <row r="52" spans="1:3" x14ac:dyDescent="0.25">
      <c r="A52" s="29" t="s">
        <v>57</v>
      </c>
      <c r="B52" s="17">
        <v>-0.09</v>
      </c>
      <c r="C52" s="17"/>
    </row>
    <row r="54" spans="1:3" x14ac:dyDescent="0.25">
      <c r="A54" s="2" t="s">
        <v>14</v>
      </c>
    </row>
    <row r="55" spans="1:3" x14ac:dyDescent="0.25">
      <c r="B55" s="2" t="s">
        <v>58</v>
      </c>
      <c r="C55" s="2" t="s">
        <v>59</v>
      </c>
    </row>
    <row r="56" spans="1:3" x14ac:dyDescent="0.25">
      <c r="A56" s="22" t="s">
        <v>60</v>
      </c>
      <c r="B56" s="23">
        <f>B36</f>
        <v>6.4857142857142839E-3</v>
      </c>
      <c r="C56" s="23">
        <f>C36</f>
        <v>3.9714285714285711E-3</v>
      </c>
    </row>
    <row r="57" spans="1:3" x14ac:dyDescent="0.25">
      <c r="A57" t="s">
        <v>64</v>
      </c>
      <c r="C57" s="6">
        <f>0.5*B56+0.5*C56</f>
        <v>5.2285714285714279E-3</v>
      </c>
    </row>
    <row r="59" spans="1:3" x14ac:dyDescent="0.25">
      <c r="A59" s="49" t="s">
        <v>65</v>
      </c>
      <c r="B59" s="49"/>
      <c r="C59" s="49"/>
    </row>
    <row r="60" spans="1:3" x14ac:dyDescent="0.25">
      <c r="A60" s="49"/>
      <c r="B60" s="49"/>
      <c r="C60" s="49"/>
    </row>
    <row r="70" spans="1:2" x14ac:dyDescent="0.25">
      <c r="A70" s="29" t="s">
        <v>5</v>
      </c>
      <c r="B70" s="29">
        <v>1.7</v>
      </c>
    </row>
    <row r="71" spans="1:2" x14ac:dyDescent="0.25">
      <c r="A71" s="29" t="s">
        <v>67</v>
      </c>
      <c r="B71" s="36">
        <v>0.15</v>
      </c>
    </row>
    <row r="72" spans="1:2" x14ac:dyDescent="0.25">
      <c r="A72" s="29" t="s">
        <v>68</v>
      </c>
      <c r="B72" s="31">
        <f>B71-0.06</f>
        <v>0.09</v>
      </c>
    </row>
    <row r="73" spans="1:2" x14ac:dyDescent="0.25">
      <c r="A73" s="29" t="s">
        <v>69</v>
      </c>
      <c r="B73" s="38">
        <f>1.7*6%</f>
        <v>0.10199999999999999</v>
      </c>
    </row>
    <row r="74" spans="1:2" x14ac:dyDescent="0.25">
      <c r="A74" s="2" t="s">
        <v>70</v>
      </c>
      <c r="B74" s="24">
        <f>B71-B73</f>
        <v>4.8000000000000001E-2</v>
      </c>
    </row>
    <row r="88" spans="1:2" x14ac:dyDescent="0.25">
      <c r="A88" s="2" t="s">
        <v>12</v>
      </c>
    </row>
    <row r="89" spans="1:2" x14ac:dyDescent="0.25">
      <c r="A89" s="29" t="s">
        <v>71</v>
      </c>
      <c r="B89" s="36">
        <v>0.05</v>
      </c>
    </row>
    <row r="90" spans="1:2" x14ac:dyDescent="0.25">
      <c r="A90" s="29" t="s">
        <v>72</v>
      </c>
      <c r="B90" s="36">
        <v>0.11</v>
      </c>
    </row>
    <row r="91" spans="1:2" x14ac:dyDescent="0.25">
      <c r="A91" s="32" t="s">
        <v>4</v>
      </c>
      <c r="B91" s="33">
        <f>B90-B89</f>
        <v>0.06</v>
      </c>
    </row>
    <row r="92" spans="1:2" x14ac:dyDescent="0.25">
      <c r="A92" s="32" t="s">
        <v>5</v>
      </c>
      <c r="B92" s="34">
        <v>2.0499999999999998</v>
      </c>
    </row>
    <row r="93" spans="1:2" x14ac:dyDescent="0.25">
      <c r="A93" s="29" t="s">
        <v>6</v>
      </c>
      <c r="B93" s="29"/>
    </row>
    <row r="94" spans="1:2" x14ac:dyDescent="0.25">
      <c r="A94" s="2" t="s">
        <v>7</v>
      </c>
      <c r="B94" s="24">
        <f>B89+B92*B91</f>
        <v>0.17299999999999999</v>
      </c>
    </row>
    <row r="96" spans="1:2" x14ac:dyDescent="0.25">
      <c r="A96" s="2" t="s">
        <v>11</v>
      </c>
    </row>
    <row r="97" spans="1:1" x14ac:dyDescent="0.25">
      <c r="A97" t="s">
        <v>73</v>
      </c>
    </row>
    <row r="120" spans="1:4" x14ac:dyDescent="0.25">
      <c r="A120" s="2" t="s">
        <v>12</v>
      </c>
    </row>
    <row r="121" spans="1:4" ht="30" x14ac:dyDescent="0.25">
      <c r="A121" s="9" t="s">
        <v>42</v>
      </c>
      <c r="B121" s="11" t="s">
        <v>75</v>
      </c>
      <c r="C121" s="25" t="s">
        <v>76</v>
      </c>
    </row>
    <row r="122" spans="1:4" x14ac:dyDescent="0.25">
      <c r="A122" s="27" t="s">
        <v>78</v>
      </c>
      <c r="B122" s="5">
        <f>C128/B128</f>
        <v>1.7999999999999998</v>
      </c>
      <c r="C122" s="5">
        <f>D128/B128</f>
        <v>0.70000000000000007</v>
      </c>
    </row>
    <row r="123" spans="1:4" x14ac:dyDescent="0.25">
      <c r="B123" s="5"/>
      <c r="C123" s="5"/>
    </row>
    <row r="124" spans="1:4" x14ac:dyDescent="0.25">
      <c r="A124" s="27" t="s">
        <v>11</v>
      </c>
      <c r="B124" t="s">
        <v>7</v>
      </c>
    </row>
    <row r="125" spans="1:4" ht="30" x14ac:dyDescent="0.25">
      <c r="A125" s="39" t="s">
        <v>42</v>
      </c>
      <c r="B125" s="40" t="s">
        <v>74</v>
      </c>
      <c r="C125" s="40" t="s">
        <v>75</v>
      </c>
      <c r="D125" s="41" t="s">
        <v>76</v>
      </c>
    </row>
    <row r="126" spans="1:4" x14ac:dyDescent="0.25">
      <c r="A126" s="39" t="s">
        <v>77</v>
      </c>
      <c r="B126" s="42">
        <f>-10%</f>
        <v>-0.1</v>
      </c>
      <c r="C126" s="43">
        <v>-0.12</v>
      </c>
      <c r="D126" s="43">
        <v>-0.03</v>
      </c>
    </row>
    <row r="127" spans="1:4" x14ac:dyDescent="0.25">
      <c r="A127" s="39" t="s">
        <v>45</v>
      </c>
      <c r="B127" s="43">
        <v>0.2</v>
      </c>
      <c r="C127" s="43">
        <v>0.3</v>
      </c>
      <c r="D127" s="43">
        <v>0.1</v>
      </c>
    </row>
    <row r="128" spans="1:4" x14ac:dyDescent="0.25">
      <c r="A128" s="26" t="s">
        <v>79</v>
      </c>
      <c r="B128" s="4">
        <f>AVERAGE(B126:B127)</f>
        <v>0.05</v>
      </c>
      <c r="C128" s="5">
        <f>AVERAGE(C126:C127)</f>
        <v>0.09</v>
      </c>
      <c r="D128" s="5">
        <f>AVERAGE(D126:D127)</f>
        <v>3.5000000000000003E-2</v>
      </c>
    </row>
    <row r="130" spans="1:4" x14ac:dyDescent="0.25">
      <c r="A130" s="2" t="s">
        <v>14</v>
      </c>
    </row>
    <row r="131" spans="1:4" ht="30" x14ac:dyDescent="0.25">
      <c r="A131" s="9" t="s">
        <v>42</v>
      </c>
      <c r="B131" s="11" t="s">
        <v>74</v>
      </c>
      <c r="C131" s="11" t="s">
        <v>75</v>
      </c>
      <c r="D131" s="25" t="s">
        <v>76</v>
      </c>
    </row>
    <row r="132" spans="1:4" x14ac:dyDescent="0.25">
      <c r="A132" s="26" t="s">
        <v>80</v>
      </c>
      <c r="B132" s="17">
        <f>B128</f>
        <v>0.05</v>
      </c>
      <c r="C132" s="1">
        <f>5%+(0.05-B132)*C128</f>
        <v>0.05</v>
      </c>
      <c r="D132" s="1">
        <f>5%+(0.05-C132)*D128</f>
        <v>0.05</v>
      </c>
    </row>
    <row r="134" spans="1:4" x14ac:dyDescent="0.25">
      <c r="A134" t="s">
        <v>81</v>
      </c>
    </row>
    <row r="136" spans="1:4" x14ac:dyDescent="0.25">
      <c r="A136" s="2" t="s">
        <v>82</v>
      </c>
    </row>
    <row r="137" spans="1:4" x14ac:dyDescent="0.25">
      <c r="A137" t="s">
        <v>83</v>
      </c>
    </row>
  </sheetData>
  <mergeCells count="2">
    <mergeCell ref="A40:E41"/>
    <mergeCell ref="A59:C6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8:C82"/>
  <sheetViews>
    <sheetView topLeftCell="A67" workbookViewId="0">
      <selection activeCell="F85" sqref="F85"/>
    </sheetView>
  </sheetViews>
  <sheetFormatPr defaultRowHeight="15" x14ac:dyDescent="0.25"/>
  <cols>
    <col min="1" max="1" width="13.28515625" bestFit="1" customWidth="1"/>
    <col min="2" max="2" width="12" bestFit="1" customWidth="1"/>
  </cols>
  <sheetData>
    <row r="8" spans="1:2" x14ac:dyDescent="0.25">
      <c r="A8" s="29" t="s">
        <v>5</v>
      </c>
      <c r="B8" s="29">
        <v>0.74</v>
      </c>
    </row>
    <row r="9" spans="1:2" x14ac:dyDescent="0.25">
      <c r="A9" s="29" t="s">
        <v>16</v>
      </c>
      <c r="B9" s="29">
        <v>49</v>
      </c>
    </row>
    <row r="10" spans="1:2" x14ac:dyDescent="0.25">
      <c r="A10" s="29" t="s">
        <v>84</v>
      </c>
      <c r="B10" s="29">
        <v>3</v>
      </c>
    </row>
    <row r="11" spans="1:2" x14ac:dyDescent="0.25">
      <c r="A11" s="29" t="s">
        <v>71</v>
      </c>
      <c r="B11" s="36">
        <v>0.05</v>
      </c>
    </row>
    <row r="12" spans="1:2" x14ac:dyDescent="0.25">
      <c r="A12" s="29" t="s">
        <v>4</v>
      </c>
      <c r="B12" s="37">
        <f>8%</f>
        <v>0.08</v>
      </c>
    </row>
    <row r="13" spans="1:2" x14ac:dyDescent="0.25">
      <c r="A13" s="29" t="s">
        <v>6</v>
      </c>
      <c r="B13" s="29"/>
    </row>
    <row r="14" spans="1:2" x14ac:dyDescent="0.25">
      <c r="A14" s="32" t="s">
        <v>7</v>
      </c>
      <c r="B14" s="44">
        <f>B11+B8*B12</f>
        <v>0.10920000000000001</v>
      </c>
    </row>
    <row r="15" spans="1:2" x14ac:dyDescent="0.25">
      <c r="A15" s="29"/>
      <c r="B15" s="29"/>
    </row>
    <row r="16" spans="1:2" x14ac:dyDescent="0.25">
      <c r="A16" s="29" t="s">
        <v>85</v>
      </c>
      <c r="B16" s="29"/>
    </row>
    <row r="17" spans="1:2" x14ac:dyDescent="0.25">
      <c r="A17" s="29"/>
      <c r="B17" s="29" t="s">
        <v>86</v>
      </c>
    </row>
    <row r="18" spans="1:2" x14ac:dyDescent="0.25">
      <c r="A18" s="2" t="s">
        <v>87</v>
      </c>
      <c r="B18" s="2">
        <f>B10/B14</f>
        <v>27.472527472527471</v>
      </c>
    </row>
    <row r="37" spans="1:3" x14ac:dyDescent="0.25">
      <c r="A37" t="s">
        <v>88</v>
      </c>
      <c r="B37">
        <v>1</v>
      </c>
    </row>
    <row r="38" spans="1:3" x14ac:dyDescent="0.25">
      <c r="A38" t="s">
        <v>47</v>
      </c>
      <c r="B38" s="17">
        <v>0.14000000000000001</v>
      </c>
    </row>
    <row r="39" spans="1:3" x14ac:dyDescent="0.25">
      <c r="A39" t="s">
        <v>71</v>
      </c>
      <c r="B39" s="17">
        <v>0.05</v>
      </c>
    </row>
    <row r="40" spans="1:3" x14ac:dyDescent="0.25">
      <c r="A40" t="s">
        <v>89</v>
      </c>
      <c r="B40" s="28">
        <f>5%/14%</f>
        <v>0.35714285714285715</v>
      </c>
    </row>
    <row r="41" spans="1:3" x14ac:dyDescent="0.25">
      <c r="B41" s="28"/>
    </row>
    <row r="42" spans="1:3" x14ac:dyDescent="0.25">
      <c r="A42" s="2" t="s">
        <v>12</v>
      </c>
    </row>
    <row r="43" spans="1:3" x14ac:dyDescent="0.25">
      <c r="B43" s="2" t="s">
        <v>47</v>
      </c>
      <c r="C43" s="2" t="s">
        <v>5</v>
      </c>
    </row>
    <row r="44" spans="1:3" x14ac:dyDescent="0.25">
      <c r="A44">
        <v>0</v>
      </c>
      <c r="B44">
        <f>A44*$B$38+(1-A44)*$B$39</f>
        <v>0.05</v>
      </c>
      <c r="C44" s="28">
        <f>A44*$B$37+(1-A44)*$B$40</f>
        <v>0.35714285714285715</v>
      </c>
    </row>
    <row r="45" spans="1:3" x14ac:dyDescent="0.25">
      <c r="A45">
        <v>0.25</v>
      </c>
      <c r="B45">
        <f t="shared" ref="B45:B48" si="0">A45*$B$38+(1-A45)*$B$39</f>
        <v>7.2500000000000009E-2</v>
      </c>
      <c r="C45" s="28">
        <f t="shared" ref="C45:C48" si="1">A45*$B$37+(1-A45)*$B$40</f>
        <v>0.51785714285714279</v>
      </c>
    </row>
    <row r="46" spans="1:3" x14ac:dyDescent="0.25">
      <c r="A46">
        <v>0.5</v>
      </c>
      <c r="B46">
        <f t="shared" si="0"/>
        <v>9.5000000000000001E-2</v>
      </c>
      <c r="C46" s="28">
        <f t="shared" si="1"/>
        <v>0.6785714285714286</v>
      </c>
    </row>
    <row r="47" spans="1:3" x14ac:dyDescent="0.25">
      <c r="A47">
        <v>0.75</v>
      </c>
      <c r="B47">
        <f t="shared" si="0"/>
        <v>0.11750000000000001</v>
      </c>
      <c r="C47" s="28">
        <f t="shared" si="1"/>
        <v>0.8392857142857143</v>
      </c>
    </row>
    <row r="48" spans="1:3" x14ac:dyDescent="0.25">
      <c r="A48">
        <v>1</v>
      </c>
      <c r="B48">
        <f t="shared" si="0"/>
        <v>0.14000000000000001</v>
      </c>
      <c r="C48" s="28">
        <f t="shared" si="1"/>
        <v>1</v>
      </c>
    </row>
    <row r="51" spans="1:1" x14ac:dyDescent="0.25">
      <c r="A51" s="2" t="s">
        <v>11</v>
      </c>
    </row>
    <row r="52" spans="1:1" x14ac:dyDescent="0.25">
      <c r="A52" t="s">
        <v>90</v>
      </c>
    </row>
    <row r="66" spans="1:3" x14ac:dyDescent="0.25">
      <c r="A66" s="2" t="s">
        <v>12</v>
      </c>
    </row>
    <row r="67" spans="1:3" x14ac:dyDescent="0.25">
      <c r="A67" s="29" t="s">
        <v>91</v>
      </c>
      <c r="B67" s="29"/>
    </row>
    <row r="68" spans="1:3" x14ac:dyDescent="0.25">
      <c r="A68" s="29" t="s">
        <v>72</v>
      </c>
      <c r="B68" s="36">
        <v>0.14000000000000001</v>
      </c>
    </row>
    <row r="69" spans="1:3" x14ac:dyDescent="0.25">
      <c r="A69" s="29" t="s">
        <v>71</v>
      </c>
      <c r="B69" s="36">
        <v>0.06</v>
      </c>
    </row>
    <row r="70" spans="1:3" x14ac:dyDescent="0.25">
      <c r="A70" s="2" t="s">
        <v>4</v>
      </c>
      <c r="B70" s="4">
        <f>B68-B69</f>
        <v>8.0000000000000016E-2</v>
      </c>
    </row>
    <row r="72" spans="1:3" x14ac:dyDescent="0.25">
      <c r="A72" s="2" t="s">
        <v>11</v>
      </c>
    </row>
    <row r="73" spans="1:3" x14ac:dyDescent="0.25">
      <c r="A73" s="29" t="s">
        <v>6</v>
      </c>
      <c r="B73" s="29"/>
    </row>
    <row r="74" spans="1:3" x14ac:dyDescent="0.25">
      <c r="A74" s="2" t="s">
        <v>7</v>
      </c>
      <c r="B74" s="24">
        <f>B69+1.4*B70</f>
        <v>0.17200000000000001</v>
      </c>
    </row>
    <row r="76" spans="1:3" x14ac:dyDescent="0.25">
      <c r="A76" s="2" t="s">
        <v>14</v>
      </c>
    </row>
    <row r="77" spans="1:3" x14ac:dyDescent="0.25">
      <c r="A77" t="s">
        <v>92</v>
      </c>
    </row>
    <row r="79" spans="1:3" x14ac:dyDescent="0.25">
      <c r="A79" s="2" t="s">
        <v>82</v>
      </c>
    </row>
    <row r="80" spans="1:3" x14ac:dyDescent="0.25">
      <c r="A80" s="29" t="s">
        <v>6</v>
      </c>
      <c r="B80" s="29"/>
      <c r="C80" s="29"/>
    </row>
    <row r="81" spans="1:3" x14ac:dyDescent="0.25">
      <c r="A81" s="29" t="s">
        <v>93</v>
      </c>
      <c r="B81" s="29"/>
      <c r="C81" s="29"/>
    </row>
    <row r="82" spans="1:3" x14ac:dyDescent="0.25">
      <c r="A82" s="2" t="s">
        <v>5</v>
      </c>
      <c r="B82" s="2">
        <f>(11.6%-B69)/B70</f>
        <v>0.69999999999999984</v>
      </c>
      <c r="C82" s="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2:B71"/>
  <sheetViews>
    <sheetView topLeftCell="A28" workbookViewId="0">
      <selection activeCell="D28" sqref="D28"/>
    </sheetView>
  </sheetViews>
  <sheetFormatPr defaultRowHeight="15" x14ac:dyDescent="0.25"/>
  <cols>
    <col min="1" max="1" width="15.5703125" customWidth="1"/>
  </cols>
  <sheetData>
    <row r="12" spans="1:2" x14ac:dyDescent="0.25">
      <c r="A12" s="2" t="s">
        <v>12</v>
      </c>
    </row>
    <row r="13" spans="1:2" x14ac:dyDescent="0.25">
      <c r="A13" s="29" t="s">
        <v>94</v>
      </c>
      <c r="B13" s="36">
        <v>0.16</v>
      </c>
    </row>
    <row r="14" spans="1:2" x14ac:dyDescent="0.25">
      <c r="A14" s="29" t="s">
        <v>5</v>
      </c>
      <c r="B14" s="29">
        <v>0.7</v>
      </c>
    </row>
    <row r="15" spans="1:2" x14ac:dyDescent="0.25">
      <c r="A15" s="29" t="s">
        <v>71</v>
      </c>
      <c r="B15" s="36">
        <v>0.06</v>
      </c>
    </row>
    <row r="16" spans="1:2" x14ac:dyDescent="0.25">
      <c r="A16" s="29" t="s">
        <v>72</v>
      </c>
      <c r="B16" s="36">
        <v>0.16</v>
      </c>
    </row>
    <row r="17" spans="1:2" x14ac:dyDescent="0.25">
      <c r="A17" s="2" t="s">
        <v>95</v>
      </c>
      <c r="B17" s="3">
        <f>B15+(B16-B15)*B14</f>
        <v>0.13</v>
      </c>
    </row>
    <row r="19" spans="1:2" x14ac:dyDescent="0.25">
      <c r="A19" s="2" t="s">
        <v>11</v>
      </c>
    </row>
    <row r="20" spans="1:2" x14ac:dyDescent="0.25">
      <c r="A20" t="s">
        <v>96</v>
      </c>
    </row>
    <row r="22" spans="1:2" x14ac:dyDescent="0.25">
      <c r="A22" s="2" t="s">
        <v>14</v>
      </c>
    </row>
    <row r="23" spans="1:2" x14ac:dyDescent="0.25">
      <c r="A23" s="29" t="s">
        <v>94</v>
      </c>
      <c r="B23" s="36">
        <v>0.16</v>
      </c>
    </row>
    <row r="24" spans="1:2" x14ac:dyDescent="0.25">
      <c r="A24" s="29" t="s">
        <v>5</v>
      </c>
      <c r="B24" s="29">
        <v>1.7</v>
      </c>
    </row>
    <row r="25" spans="1:2" x14ac:dyDescent="0.25">
      <c r="A25" s="29" t="s">
        <v>71</v>
      </c>
      <c r="B25" s="36">
        <v>0.06</v>
      </c>
    </row>
    <row r="26" spans="1:2" x14ac:dyDescent="0.25">
      <c r="A26" s="29" t="s">
        <v>72</v>
      </c>
      <c r="B26" s="36">
        <v>0.16</v>
      </c>
    </row>
    <row r="27" spans="1:2" x14ac:dyDescent="0.25">
      <c r="A27" s="2" t="s">
        <v>95</v>
      </c>
      <c r="B27" s="3">
        <f>B25+(B26-B25)*B24</f>
        <v>0.23</v>
      </c>
    </row>
    <row r="29" spans="1:2" x14ac:dyDescent="0.25">
      <c r="A29" s="2" t="s">
        <v>82</v>
      </c>
    </row>
    <row r="30" spans="1:2" x14ac:dyDescent="0.25">
      <c r="A30" t="s">
        <v>97</v>
      </c>
    </row>
    <row r="55" spans="1:2" x14ac:dyDescent="0.25">
      <c r="A55" s="2" t="s">
        <v>12</v>
      </c>
    </row>
    <row r="56" spans="1:2" x14ac:dyDescent="0.25">
      <c r="A56" t="s">
        <v>5</v>
      </c>
      <c r="B56" s="2" t="s">
        <v>98</v>
      </c>
    </row>
    <row r="57" spans="1:2" x14ac:dyDescent="0.25">
      <c r="A57">
        <v>0.25</v>
      </c>
      <c r="B57" s="8">
        <f>0.04+0.09*A57</f>
        <v>6.25E-2</v>
      </c>
    </row>
    <row r="58" spans="1:2" x14ac:dyDescent="0.25">
      <c r="A58">
        <v>1.35</v>
      </c>
      <c r="B58" s="8">
        <f>0.04+0.09*A58</f>
        <v>0.1615</v>
      </c>
    </row>
    <row r="60" spans="1:2" x14ac:dyDescent="0.25">
      <c r="A60" s="2" t="s">
        <v>11</v>
      </c>
    </row>
    <row r="61" spans="1:2" x14ac:dyDescent="0.25">
      <c r="A61" t="s">
        <v>99</v>
      </c>
    </row>
    <row r="70" spans="1:2" x14ac:dyDescent="0.25">
      <c r="A70" t="s">
        <v>100</v>
      </c>
    </row>
    <row r="71" spans="1:2" x14ac:dyDescent="0.25">
      <c r="A71" s="2" t="s">
        <v>101</v>
      </c>
      <c r="B71" s="2">
        <f>56000/(0.14)</f>
        <v>399999.99999999994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1-3</vt:lpstr>
      <vt:lpstr>4-7</vt:lpstr>
      <vt:lpstr>8-11</vt:lpstr>
      <vt:lpstr>12-14</vt:lpstr>
      <vt:lpstr>15-17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2020-11-07T17:51:24Z</dcterms:created>
  <dcterms:modified xsi:type="dcterms:W3CDTF">2020-11-08T12:10:31Z</dcterms:modified>
</cp:coreProperties>
</file>